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24" windowWidth="9708" windowHeight="9564"/>
  </bookViews>
  <sheets>
    <sheet name="ACTUAL VS Budget PY3" sheetId="2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2" i="2"/>
  <c r="F72" i="2"/>
  <c r="C72" i="2"/>
  <c r="H70" i="2"/>
  <c r="H8" i="2" s="1"/>
  <c r="D70" i="2"/>
  <c r="H69" i="2"/>
  <c r="D69" i="2"/>
  <c r="B69" i="2"/>
  <c r="B72" i="2" s="1"/>
  <c r="F68" i="2"/>
  <c r="F67" i="2"/>
  <c r="E67" i="2"/>
  <c r="F66" i="2"/>
  <c r="E66" i="2"/>
  <c r="F65" i="2"/>
  <c r="E65" i="2"/>
  <c r="C65" i="2"/>
  <c r="C69" i="2" s="1"/>
  <c r="E64" i="2"/>
  <c r="E58" i="2"/>
  <c r="G57" i="2"/>
  <c r="C57" i="2"/>
  <c r="B57" i="2"/>
  <c r="F56" i="2"/>
  <c r="F57" i="2" s="1"/>
  <c r="E55" i="2"/>
  <c r="E54" i="2"/>
  <c r="E53" i="2"/>
  <c r="E52" i="2"/>
  <c r="F48" i="2"/>
  <c r="E46" i="2"/>
  <c r="C46" i="2"/>
  <c r="H45" i="2"/>
  <c r="H47" i="2" s="1"/>
  <c r="D45" i="2"/>
  <c r="D47" i="2" s="1"/>
  <c r="B45" i="2"/>
  <c r="F43" i="2"/>
  <c r="E43" i="2"/>
  <c r="F42" i="2"/>
  <c r="E42" i="2"/>
  <c r="F41" i="2"/>
  <c r="E41" i="2"/>
  <c r="C41" i="2"/>
  <c r="E40" i="2"/>
  <c r="B35" i="2"/>
  <c r="E34" i="2"/>
  <c r="C33" i="2"/>
  <c r="C36" i="2" s="1"/>
  <c r="B33" i="2"/>
  <c r="B36" i="2" s="1"/>
  <c r="F32" i="2"/>
  <c r="E31" i="2"/>
  <c r="E30" i="2"/>
  <c r="E29" i="2"/>
  <c r="E28" i="2"/>
  <c r="E20" i="2"/>
  <c r="G19" i="2"/>
  <c r="B19" i="2"/>
  <c r="F18" i="2"/>
  <c r="F17" i="2"/>
  <c r="E17" i="2"/>
  <c r="C17" i="2"/>
  <c r="C5" i="2" s="1"/>
  <c r="F16" i="2"/>
  <c r="E16" i="2"/>
  <c r="E15" i="2"/>
  <c r="E19" i="2" s="1"/>
  <c r="E22" i="2" s="1"/>
  <c r="E14" i="2"/>
  <c r="H10" i="2"/>
  <c r="G10" i="2"/>
  <c r="D10" i="2"/>
  <c r="G9" i="2"/>
  <c r="G8" i="2"/>
  <c r="F8" i="2"/>
  <c r="G7" i="2"/>
  <c r="H6" i="2"/>
  <c r="G6" i="2"/>
  <c r="E6" i="2"/>
  <c r="D6" i="2"/>
  <c r="C6" i="2"/>
  <c r="B6" i="2"/>
  <c r="H5" i="2"/>
  <c r="G5" i="2"/>
  <c r="D5" i="2"/>
  <c r="B5" i="2"/>
  <c r="H4" i="2"/>
  <c r="G4" i="2"/>
  <c r="D4" i="2"/>
  <c r="C4" i="2"/>
  <c r="B4" i="2"/>
  <c r="H3" i="2"/>
  <c r="G3" i="2"/>
  <c r="D3" i="2"/>
  <c r="B3" i="2"/>
  <c r="H2" i="2"/>
  <c r="G2" i="2"/>
  <c r="F2" i="2"/>
  <c r="D2" i="2"/>
  <c r="C2" i="2"/>
  <c r="B2" i="2"/>
  <c r="E2" i="2" l="1"/>
  <c r="C35" i="2"/>
  <c r="E57" i="2"/>
  <c r="E60" i="2" s="1"/>
  <c r="D7" i="2"/>
  <c r="E45" i="2"/>
  <c r="E48" i="2" s="1"/>
  <c r="F3" i="2"/>
  <c r="H71" i="2"/>
  <c r="H9" i="2" s="1"/>
  <c r="C19" i="2"/>
  <c r="E3" i="2"/>
  <c r="B70" i="2"/>
  <c r="E4" i="2"/>
  <c r="E5" i="2"/>
  <c r="E69" i="2"/>
  <c r="E72" i="2" s="1"/>
  <c r="F4" i="2"/>
  <c r="F19" i="2"/>
  <c r="C21" i="2"/>
  <c r="C70" i="2"/>
  <c r="D71" i="2"/>
  <c r="D9" i="2" s="1"/>
  <c r="H7" i="2"/>
  <c r="F5" i="2"/>
  <c r="C8" i="2"/>
  <c r="E35" i="2"/>
  <c r="C45" i="2"/>
  <c r="C47" i="2" s="1"/>
  <c r="F69" i="2"/>
  <c r="F71" i="2" s="1"/>
  <c r="C3" i="2"/>
  <c r="D8" i="2"/>
  <c r="E33" i="2"/>
  <c r="F45" i="2"/>
  <c r="F47" i="2" s="1"/>
  <c r="F59" i="2"/>
  <c r="F60" i="2"/>
  <c r="C60" i="2"/>
  <c r="C59" i="2"/>
  <c r="B48" i="2"/>
  <c r="B7" i="2"/>
  <c r="B21" i="2"/>
  <c r="B47" i="2"/>
  <c r="B59" i="2"/>
  <c r="F33" i="2"/>
  <c r="F6" i="2"/>
  <c r="B71" i="2" l="1"/>
  <c r="E71" i="2" s="1"/>
  <c r="B8" i="2"/>
  <c r="E70" i="2"/>
  <c r="E8" i="2" s="1"/>
  <c r="F35" i="2"/>
  <c r="F36" i="2"/>
  <c r="E21" i="2"/>
  <c r="B9" i="2"/>
  <c r="C10" i="2"/>
  <c r="E59" i="2"/>
  <c r="B10" i="2"/>
  <c r="E36" i="2"/>
  <c r="E10" i="2" s="1"/>
  <c r="E7" i="2"/>
  <c r="E47" i="2"/>
  <c r="C49" i="2"/>
  <c r="C71" i="2"/>
  <c r="C9" i="2" s="1"/>
  <c r="C7" i="2"/>
  <c r="F7" i="2"/>
  <c r="F21" i="2"/>
  <c r="F22" i="2"/>
  <c r="E9" i="2" l="1"/>
  <c r="F10" i="2"/>
  <c r="F9" i="2"/>
</calcChain>
</file>

<file path=xl/sharedStrings.xml><?xml version="1.0" encoding="utf-8"?>
<sst xmlns="http://schemas.openxmlformats.org/spreadsheetml/2006/main" count="115" uniqueCount="35">
  <si>
    <t>ALL</t>
  </si>
  <si>
    <t>Budget</t>
  </si>
  <si>
    <t>Year 1</t>
  </si>
  <si>
    <t>Budget Year 2</t>
  </si>
  <si>
    <t>PMs</t>
  </si>
  <si>
    <t>Personnel Costs (1)</t>
  </si>
  <si>
    <t>Travel</t>
  </si>
  <si>
    <t>Other</t>
  </si>
  <si>
    <t>Subcontracting</t>
  </si>
  <si>
    <t>Total Direct Costs</t>
  </si>
  <si>
    <t>Indirect costs(3)</t>
  </si>
  <si>
    <t>Total Eligible Costs</t>
  </si>
  <si>
    <t>Max. EC Requested Contribution</t>
  </si>
  <si>
    <t>CERN</t>
  </si>
  <si>
    <t>Costs Year 1 (1)</t>
  </si>
  <si>
    <t>Personnel Costs</t>
  </si>
  <si>
    <t>(1) include unfunded PMs</t>
  </si>
  <si>
    <t>(2) central budget</t>
  </si>
  <si>
    <t>(3)indirect costs budgeted @ 20%</t>
  </si>
  <si>
    <t>QMUL</t>
  </si>
  <si>
    <t xml:space="preserve">Costs Year 1 </t>
  </si>
  <si>
    <t>Indirect costs(2)</t>
  </si>
  <si>
    <t>(1)indirect costs budgeted @ 20%</t>
  </si>
  <si>
    <t>APO</t>
  </si>
  <si>
    <t>Indirect costs</t>
  </si>
  <si>
    <t>Imperial</t>
  </si>
  <si>
    <t>EGI.eu</t>
  </si>
  <si>
    <t>ADJS Y1</t>
  </si>
  <si>
    <t>Unf Y1</t>
  </si>
  <si>
    <t>Actual Year 2</t>
  </si>
  <si>
    <t>Unf Y2</t>
  </si>
  <si>
    <t>Budget M25-35</t>
  </si>
  <si>
    <t>Other inc e-concertation meeting(2)</t>
  </si>
  <si>
    <t>Other amended in  Amendment N2</t>
  </si>
  <si>
    <t>Other amended in Amendment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</si>
</sst>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43" fontId="8" fillId="0" borderId="0" xfId="0" applyNumberFormat="1" applyFont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43" fontId="8" fillId="0" borderId="1" xfId="0" applyNumberFormat="1" applyFont="1" applyFill="1" applyBorder="1" applyAlignment="1">
      <alignment vertical="center"/>
    </xf>
    <xf numFmtId="43" fontId="9" fillId="0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itoune/Google%20Drive/e-Science%20Talk-1-09-2010/02-Project%20Finances/YEAR2-review-finance/Preparation/Partner-CERN-e-ScienceTalk-Year2-Justification-of-Resour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itoune/Google%20Drive/e-Science%20Talk-1-09-2010/02-Project%20Finances/YEAR2-review-finance/Preparation/Partner-APO-e-ScienceTalk-Year2-Justification-of-Resour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itoune/Google%20Drive/e-Science%20Talk-1-09-2010/02-Project%20Finances/YEAR2-review-finance/Preparation/EGI.eu/Template-Partner01-EGI.eu-e-ScienceTalk-Year2-Justification-of-Re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FORM C"/>
      <sheetName val="Justification Resource-Deviatio"/>
      <sheetName val="Form C FP7 Y2 FOR NEF"/>
      <sheetName val="Form C FP7 Adjustment Y1"/>
      <sheetName val="Justification of Adjustments"/>
    </sheetNames>
    <sheetDataSet>
      <sheetData sheetId="0">
        <row r="26">
          <cell r="B26">
            <v>2758.0862758161225</v>
          </cell>
        </row>
        <row r="28">
          <cell r="B28">
            <v>468.4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low-up Budget"/>
      <sheetName val="APO-costs"/>
      <sheetName val="EASYTS"/>
      <sheetName val="Detailed FORM C"/>
      <sheetName val="Justification Resource-Deviatio"/>
      <sheetName val="Form C FP7 Y2 FOR NEF"/>
      <sheetName val="Form C FP7 Adjustment Y1"/>
      <sheetName val="Justification of Adjustments"/>
      <sheetName val="Sheet1"/>
    </sheetNames>
    <sheetDataSet>
      <sheetData sheetId="0"/>
      <sheetData sheetId="1"/>
      <sheetData sheetId="2"/>
      <sheetData sheetId="3">
        <row r="23">
          <cell r="B23">
            <v>51185.01</v>
          </cell>
        </row>
        <row r="26">
          <cell r="B26">
            <v>5217.8999999999996</v>
          </cell>
        </row>
        <row r="27">
          <cell r="B27">
            <v>360</v>
          </cell>
        </row>
        <row r="28">
          <cell r="B28">
            <v>83.72</v>
          </cell>
        </row>
        <row r="33">
          <cell r="B33">
            <v>60825.894100000005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SYTS"/>
      <sheetName val="Detailed FORM C"/>
      <sheetName val="Justification Resource-Deviatio"/>
      <sheetName val="Form C FP7 Y2 FOR NEF"/>
    </sheetNames>
    <sheetDataSet>
      <sheetData sheetId="0"/>
      <sheetData sheetId="1">
        <row r="25">
          <cell r="D25">
            <v>42409.42</v>
          </cell>
        </row>
        <row r="26">
          <cell r="D26">
            <v>2707.87</v>
          </cell>
        </row>
        <row r="27">
          <cell r="C27">
            <v>605</v>
          </cell>
        </row>
        <row r="28">
          <cell r="C28">
            <v>7851.49</v>
          </cell>
        </row>
        <row r="30">
          <cell r="C30">
            <v>16500</v>
          </cell>
        </row>
        <row r="31">
          <cell r="C31">
            <v>71.25</v>
          </cell>
        </row>
        <row r="36">
          <cell r="D36">
            <v>72115.411200000002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70" zoomScaleNormal="70" workbookViewId="0">
      <selection activeCell="K2" sqref="K2:K10"/>
    </sheetView>
  </sheetViews>
  <sheetFormatPr defaultRowHeight="14.4" x14ac:dyDescent="0.3"/>
  <cols>
    <col min="1" max="1" width="39" style="5" bestFit="1" customWidth="1"/>
    <col min="2" max="2" width="11.33203125" style="25" bestFit="1" customWidth="1"/>
    <col min="3" max="4" width="10.33203125" style="18" customWidth="1"/>
    <col min="5" max="5" width="12.21875" style="18" customWidth="1"/>
    <col min="6" max="8" width="12.77734375" style="18" customWidth="1"/>
    <col min="9" max="9" width="18.109375" style="12" customWidth="1"/>
    <col min="10" max="16384" width="8.88671875" style="5"/>
  </cols>
  <sheetData>
    <row r="1" spans="1:11" ht="18" x14ac:dyDescent="0.3">
      <c r="A1" s="1" t="s">
        <v>0</v>
      </c>
      <c r="B1" s="2" t="s">
        <v>1</v>
      </c>
      <c r="C1" s="32" t="s">
        <v>2</v>
      </c>
      <c r="D1" s="32" t="s">
        <v>28</v>
      </c>
      <c r="E1" s="32" t="s">
        <v>3</v>
      </c>
      <c r="F1" s="32" t="s">
        <v>29</v>
      </c>
      <c r="G1" s="32" t="s">
        <v>27</v>
      </c>
      <c r="H1" s="32" t="s">
        <v>30</v>
      </c>
      <c r="I1" s="3" t="s">
        <v>31</v>
      </c>
    </row>
    <row r="2" spans="1:11" x14ac:dyDescent="0.3">
      <c r="A2" s="6" t="s">
        <v>4</v>
      </c>
      <c r="B2" s="7">
        <f>B14+B28+B40+B52+B64</f>
        <v>179</v>
      </c>
      <c r="C2" s="33">
        <f t="shared" ref="C2:H10" si="0">C14+C28+C40+C52+C64</f>
        <v>63.3</v>
      </c>
      <c r="D2" s="33">
        <f t="shared" si="0"/>
        <v>0</v>
      </c>
      <c r="E2" s="33">
        <f t="shared" si="0"/>
        <v>65.090909090909093</v>
      </c>
      <c r="F2" s="33">
        <f t="shared" si="0"/>
        <v>59.8</v>
      </c>
      <c r="G2" s="33">
        <f t="shared" si="0"/>
        <v>0</v>
      </c>
      <c r="H2" s="33">
        <f t="shared" si="0"/>
        <v>0</v>
      </c>
      <c r="I2" s="8">
        <v>55.900000000000006</v>
      </c>
      <c r="K2" s="5" t="b">
        <f>B2=C2+F2+G2+I2</f>
        <v>1</v>
      </c>
    </row>
    <row r="3" spans="1:11" x14ac:dyDescent="0.3">
      <c r="A3" s="9" t="s">
        <v>5</v>
      </c>
      <c r="B3" s="7">
        <f t="shared" ref="B3:G10" si="1">B15+B29+B41+B53+B65</f>
        <v>995325.58779220795</v>
      </c>
      <c r="C3" s="33">
        <f t="shared" si="1"/>
        <v>377978</v>
      </c>
      <c r="D3" s="33">
        <f t="shared" si="1"/>
        <v>4060</v>
      </c>
      <c r="E3" s="33">
        <f t="shared" si="0"/>
        <v>361936.57737898466</v>
      </c>
      <c r="F3" s="33">
        <f t="shared" si="1"/>
        <v>293948.31</v>
      </c>
      <c r="G3" s="33">
        <f t="shared" si="1"/>
        <v>0</v>
      </c>
      <c r="H3" s="33">
        <f t="shared" si="0"/>
        <v>4691</v>
      </c>
      <c r="I3" s="8">
        <v>323399.27779220795</v>
      </c>
      <c r="K3" s="5" t="b">
        <f t="shared" ref="K3:K10" si="2">B3=C3+F3+G3+I3</f>
        <v>1</v>
      </c>
    </row>
    <row r="4" spans="1:11" x14ac:dyDescent="0.3">
      <c r="A4" s="9" t="s">
        <v>6</v>
      </c>
      <c r="B4" s="7">
        <f>B16+B30+B42+B54+B66</f>
        <v>87544.246753246756</v>
      </c>
      <c r="C4" s="33">
        <f t="shared" si="1"/>
        <v>30583.5</v>
      </c>
      <c r="D4" s="33">
        <f t="shared" si="1"/>
        <v>0</v>
      </c>
      <c r="E4" s="33">
        <f t="shared" si="0"/>
        <v>31834.27154663518</v>
      </c>
      <c r="F4" s="33">
        <f t="shared" si="1"/>
        <v>30754.476275816123</v>
      </c>
      <c r="G4" s="33">
        <f t="shared" si="1"/>
        <v>-14</v>
      </c>
      <c r="H4" s="33">
        <f t="shared" si="0"/>
        <v>0</v>
      </c>
      <c r="I4" s="8">
        <v>26220.270477430633</v>
      </c>
      <c r="K4" s="5" t="b">
        <f t="shared" si="2"/>
        <v>1</v>
      </c>
    </row>
    <row r="5" spans="1:11" x14ac:dyDescent="0.3">
      <c r="A5" s="9" t="s">
        <v>7</v>
      </c>
      <c r="B5" s="7">
        <f t="shared" si="1"/>
        <v>119000</v>
      </c>
      <c r="C5" s="33">
        <f t="shared" si="1"/>
        <v>24027.279999999999</v>
      </c>
      <c r="D5" s="33">
        <f t="shared" si="1"/>
        <v>0</v>
      </c>
      <c r="E5" s="33">
        <f t="shared" si="0"/>
        <v>42549.447272727281</v>
      </c>
      <c r="F5" s="33">
        <f t="shared" si="1"/>
        <v>18454.37</v>
      </c>
      <c r="G5" s="33">
        <f t="shared" si="1"/>
        <v>152</v>
      </c>
      <c r="H5" s="33">
        <f t="shared" si="0"/>
        <v>0</v>
      </c>
      <c r="I5" s="8">
        <v>76366.350000000006</v>
      </c>
      <c r="K5" s="5" t="b">
        <f t="shared" si="2"/>
        <v>1</v>
      </c>
    </row>
    <row r="6" spans="1:11" x14ac:dyDescent="0.3">
      <c r="A6" s="9" t="s">
        <v>8</v>
      </c>
      <c r="B6" s="7">
        <f t="shared" si="1"/>
        <v>14000</v>
      </c>
      <c r="C6" s="33">
        <f t="shared" si="1"/>
        <v>16501</v>
      </c>
      <c r="D6" s="33">
        <f t="shared" si="1"/>
        <v>0</v>
      </c>
      <c r="E6" s="33">
        <f t="shared" si="0"/>
        <v>0</v>
      </c>
      <c r="F6" s="33">
        <f t="shared" si="1"/>
        <v>605</v>
      </c>
      <c r="G6" s="33">
        <f t="shared" si="1"/>
        <v>0</v>
      </c>
      <c r="H6" s="33">
        <f t="shared" si="0"/>
        <v>0</v>
      </c>
      <c r="I6" s="8">
        <v>-3106</v>
      </c>
      <c r="K6" s="5" t="b">
        <f t="shared" si="2"/>
        <v>1</v>
      </c>
    </row>
    <row r="7" spans="1:11" x14ac:dyDescent="0.3">
      <c r="A7" s="10" t="s">
        <v>9</v>
      </c>
      <c r="B7" s="7">
        <f t="shared" si="1"/>
        <v>1215869.8345454547</v>
      </c>
      <c r="C7" s="33">
        <f t="shared" si="1"/>
        <v>449089.78</v>
      </c>
      <c r="D7" s="33">
        <f t="shared" si="1"/>
        <v>4060</v>
      </c>
      <c r="E7" s="33">
        <f t="shared" si="0"/>
        <v>436320.29619834712</v>
      </c>
      <c r="F7" s="33">
        <f t="shared" si="1"/>
        <v>343762.15627581615</v>
      </c>
      <c r="G7" s="33">
        <f t="shared" si="1"/>
        <v>138</v>
      </c>
      <c r="H7" s="33">
        <f t="shared" si="0"/>
        <v>4691</v>
      </c>
      <c r="I7" s="8">
        <v>422879.89826963854</v>
      </c>
      <c r="K7" s="5" t="b">
        <f t="shared" si="2"/>
        <v>1</v>
      </c>
    </row>
    <row r="8" spans="1:11" x14ac:dyDescent="0.3">
      <c r="A8" s="11" t="s">
        <v>10</v>
      </c>
      <c r="B8" s="7">
        <f t="shared" si="1"/>
        <v>242373.96690909093</v>
      </c>
      <c r="C8" s="33">
        <f t="shared" si="1"/>
        <v>86516.400000000009</v>
      </c>
      <c r="D8" s="33">
        <f t="shared" si="1"/>
        <v>812</v>
      </c>
      <c r="E8" s="33">
        <f t="shared" si="0"/>
        <v>88135.987966942164</v>
      </c>
      <c r="F8" s="33">
        <f>F20+F34+F46+F58+F70</f>
        <v>68630.797999999995</v>
      </c>
      <c r="G8" s="33">
        <f t="shared" si="1"/>
        <v>0</v>
      </c>
      <c r="H8" s="33">
        <f t="shared" si="0"/>
        <v>938.2</v>
      </c>
      <c r="I8" s="8">
        <v>87226.768909090912</v>
      </c>
      <c r="K8" s="5" t="b">
        <f t="shared" si="2"/>
        <v>1</v>
      </c>
    </row>
    <row r="9" spans="1:11" s="12" customFormat="1" x14ac:dyDescent="0.3">
      <c r="A9" s="10" t="s">
        <v>11</v>
      </c>
      <c r="B9" s="7">
        <f t="shared" si="1"/>
        <v>1458243.8014545455</v>
      </c>
      <c r="C9" s="33">
        <f t="shared" si="1"/>
        <v>535606.17999999993</v>
      </c>
      <c r="D9" s="33">
        <f t="shared" si="1"/>
        <v>4872</v>
      </c>
      <c r="E9" s="33">
        <f t="shared" si="0"/>
        <v>530270.47325619834</v>
      </c>
      <c r="F9" s="33">
        <f t="shared" si="1"/>
        <v>412392.9542758161</v>
      </c>
      <c r="G9" s="33">
        <f t="shared" si="1"/>
        <v>166</v>
      </c>
      <c r="H9" s="33">
        <f t="shared" si="0"/>
        <v>5629.2</v>
      </c>
      <c r="I9" s="8">
        <v>510078.66717872943</v>
      </c>
      <c r="K9" s="5" t="b">
        <f t="shared" si="2"/>
        <v>1</v>
      </c>
    </row>
    <row r="10" spans="1:11" x14ac:dyDescent="0.3">
      <c r="A10" s="13" t="s">
        <v>12</v>
      </c>
      <c r="B10" s="7">
        <f t="shared" si="1"/>
        <v>1299999.5405636362</v>
      </c>
      <c r="C10" s="33">
        <f t="shared" si="1"/>
        <v>479494.50460000004</v>
      </c>
      <c r="D10" s="33">
        <f t="shared" si="1"/>
        <v>0</v>
      </c>
      <c r="E10" s="33">
        <f t="shared" si="0"/>
        <v>466862.71693223139</v>
      </c>
      <c r="F10" s="33">
        <f t="shared" si="1"/>
        <v>367782.94321512326</v>
      </c>
      <c r="G10" s="33">
        <f t="shared" si="1"/>
        <v>148</v>
      </c>
      <c r="H10" s="33">
        <f t="shared" si="0"/>
        <v>0</v>
      </c>
      <c r="I10" s="14">
        <v>452574.09274851286</v>
      </c>
      <c r="K10" s="5" t="b">
        <f t="shared" si="2"/>
        <v>1</v>
      </c>
    </row>
    <row r="11" spans="1:11" s="19" customFormat="1" x14ac:dyDescent="0.3">
      <c r="A11" s="15"/>
      <c r="B11" s="16"/>
      <c r="C11" s="16"/>
      <c r="D11" s="16"/>
      <c r="E11" s="16"/>
      <c r="F11" s="16"/>
      <c r="G11" s="4"/>
      <c r="H11" s="16"/>
      <c r="I11" s="17"/>
    </row>
    <row r="12" spans="1:11" x14ac:dyDescent="0.3">
      <c r="B12" s="20"/>
      <c r="C12" s="21"/>
      <c r="D12" s="21"/>
      <c r="E12" s="21"/>
      <c r="F12" s="21"/>
      <c r="G12" s="21"/>
      <c r="I12" s="22"/>
    </row>
    <row r="13" spans="1:11" ht="28.8" x14ac:dyDescent="0.3">
      <c r="A13" s="1" t="s">
        <v>13</v>
      </c>
      <c r="B13" s="2" t="s">
        <v>1</v>
      </c>
      <c r="C13" s="34" t="s">
        <v>14</v>
      </c>
      <c r="D13" s="32" t="s">
        <v>28</v>
      </c>
      <c r="E13" s="32" t="s">
        <v>3</v>
      </c>
      <c r="F13" s="32" t="s">
        <v>29</v>
      </c>
      <c r="G13" s="32" t="s">
        <v>27</v>
      </c>
      <c r="H13" s="32" t="s">
        <v>30</v>
      </c>
      <c r="I13" s="3" t="s">
        <v>31</v>
      </c>
    </row>
    <row r="14" spans="1:11" x14ac:dyDescent="0.3">
      <c r="A14" s="6" t="s">
        <v>4</v>
      </c>
      <c r="B14" s="23">
        <v>66</v>
      </c>
      <c r="C14" s="35">
        <v>24</v>
      </c>
      <c r="D14" s="35"/>
      <c r="E14" s="33">
        <f>IF(B14/33*12&gt;0,B14/33*12,B14-C14)</f>
        <v>24</v>
      </c>
      <c r="F14" s="33">
        <v>20</v>
      </c>
      <c r="G14" s="33"/>
      <c r="H14" s="33"/>
      <c r="I14" s="8">
        <v>22</v>
      </c>
    </row>
    <row r="15" spans="1:11" x14ac:dyDescent="0.3">
      <c r="A15" s="9" t="s">
        <v>15</v>
      </c>
      <c r="B15" s="24">
        <v>372742.20779220783</v>
      </c>
      <c r="C15" s="36">
        <v>193234</v>
      </c>
      <c r="D15" s="36"/>
      <c r="E15" s="33">
        <f t="shared" ref="E15:E21" si="3">IF(B15/33*12&gt;0,B15/33*12,B15-C15)</f>
        <v>135542.6210153483</v>
      </c>
      <c r="F15" s="33">
        <v>98288.68</v>
      </c>
      <c r="G15" s="33"/>
      <c r="H15" s="33"/>
      <c r="I15" s="8">
        <v>81219.527792207839</v>
      </c>
    </row>
    <row r="16" spans="1:11" x14ac:dyDescent="0.3">
      <c r="A16" s="9" t="s">
        <v>6</v>
      </c>
      <c r="B16" s="24">
        <v>31753.246753246749</v>
      </c>
      <c r="C16" s="36">
        <v>12531</v>
      </c>
      <c r="D16" s="36"/>
      <c r="E16" s="33">
        <f t="shared" si="3"/>
        <v>11546.635182998818</v>
      </c>
      <c r="F16" s="33">
        <f>'[1]Detailed FORM C'!$B$26</f>
        <v>2758.0862758161225</v>
      </c>
      <c r="G16" s="33"/>
      <c r="H16" s="33"/>
      <c r="I16" s="8">
        <v>16464.160477430625</v>
      </c>
    </row>
    <row r="17" spans="1:9" x14ac:dyDescent="0.3">
      <c r="A17" s="9" t="s">
        <v>32</v>
      </c>
      <c r="B17" s="24">
        <v>16000</v>
      </c>
      <c r="C17" s="36">
        <f>3494+8743</f>
        <v>12237</v>
      </c>
      <c r="D17" s="36"/>
      <c r="E17" s="33">
        <f t="shared" si="3"/>
        <v>5818.181818181818</v>
      </c>
      <c r="F17" s="33">
        <f>'[1]Detailed FORM C'!$B$28</f>
        <v>468.4</v>
      </c>
      <c r="G17" s="33">
        <v>152</v>
      </c>
      <c r="H17" s="33"/>
      <c r="I17" s="8">
        <v>3142.6</v>
      </c>
    </row>
    <row r="18" spans="1:9" x14ac:dyDescent="0.3">
      <c r="A18" s="9" t="s">
        <v>8</v>
      </c>
      <c r="B18" s="24">
        <v>14000</v>
      </c>
      <c r="C18" s="36">
        <v>16501</v>
      </c>
      <c r="D18" s="36"/>
      <c r="E18" s="33">
        <v>0</v>
      </c>
      <c r="F18" s="33">
        <f>IF(B18-SUM(C18:C18)&gt;0,B18-SUM(C18:C18),0)</f>
        <v>0</v>
      </c>
      <c r="G18" s="33"/>
      <c r="H18" s="33"/>
      <c r="I18" s="8">
        <v>-2501</v>
      </c>
    </row>
    <row r="19" spans="1:9" x14ac:dyDescent="0.3">
      <c r="A19" s="10" t="s">
        <v>9</v>
      </c>
      <c r="B19" s="24">
        <f>SUM(B15:B18)</f>
        <v>434495.45454545459</v>
      </c>
      <c r="C19" s="36">
        <f>SUM(C15:C18)</f>
        <v>234503</v>
      </c>
      <c r="D19" s="36"/>
      <c r="E19" s="33">
        <f>SUM(E15:E18)</f>
        <v>152907.43801652893</v>
      </c>
      <c r="F19" s="36">
        <f>SUM(F15:F18)</f>
        <v>101515.16627581611</v>
      </c>
      <c r="G19" s="36">
        <f>SUM(G15:G18)</f>
        <v>152</v>
      </c>
      <c r="H19" s="36"/>
      <c r="I19" s="8">
        <v>98325.288269638477</v>
      </c>
    </row>
    <row r="20" spans="1:9" x14ac:dyDescent="0.3">
      <c r="A20" s="11" t="s">
        <v>10</v>
      </c>
      <c r="B20" s="24">
        <v>84099.090909090912</v>
      </c>
      <c r="C20" s="36">
        <v>43600</v>
      </c>
      <c r="D20" s="36"/>
      <c r="E20" s="33">
        <f t="shared" si="3"/>
        <v>30581.487603305788</v>
      </c>
      <c r="F20" s="33">
        <v>20303</v>
      </c>
      <c r="G20" s="33"/>
      <c r="H20" s="33"/>
      <c r="I20" s="8">
        <v>20196.090909090912</v>
      </c>
    </row>
    <row r="21" spans="1:9" x14ac:dyDescent="0.3">
      <c r="A21" s="10" t="s">
        <v>11</v>
      </c>
      <c r="B21" s="24">
        <f>B20+B19</f>
        <v>518594.54545454553</v>
      </c>
      <c r="C21" s="36">
        <f>C20+C19</f>
        <v>278103</v>
      </c>
      <c r="D21" s="36"/>
      <c r="E21" s="33">
        <f t="shared" si="3"/>
        <v>188579.83471074383</v>
      </c>
      <c r="F21" s="36">
        <f>F20+F19</f>
        <v>121818.16627581611</v>
      </c>
      <c r="G21" s="33">
        <v>182</v>
      </c>
      <c r="H21" s="36"/>
      <c r="I21" s="8">
        <v>118491.37917872942</v>
      </c>
    </row>
    <row r="22" spans="1:9" x14ac:dyDescent="0.3">
      <c r="A22" s="13" t="s">
        <v>12</v>
      </c>
      <c r="B22" s="24">
        <v>463930.13636363641</v>
      </c>
      <c r="C22" s="36">
        <v>249763.14</v>
      </c>
      <c r="D22" s="36"/>
      <c r="E22" s="33">
        <f>E19*1.07</f>
        <v>163610.95867768597</v>
      </c>
      <c r="F22" s="33">
        <f>F19*1.07</f>
        <v>108621.22791512325</v>
      </c>
      <c r="G22" s="33">
        <v>162</v>
      </c>
      <c r="H22" s="33"/>
      <c r="I22" s="14">
        <v>105383.76844851315</v>
      </c>
    </row>
    <row r="23" spans="1:9" x14ac:dyDescent="0.3">
      <c r="A23" s="5" t="s">
        <v>16</v>
      </c>
      <c r="C23" s="4"/>
    </row>
    <row r="24" spans="1:9" x14ac:dyDescent="0.3">
      <c r="A24" s="5" t="s">
        <v>17</v>
      </c>
    </row>
    <row r="25" spans="1:9" x14ac:dyDescent="0.3">
      <c r="A25" s="5" t="s">
        <v>18</v>
      </c>
    </row>
    <row r="27" spans="1:9" ht="28.8" x14ac:dyDescent="0.3">
      <c r="A27" s="1" t="s">
        <v>19</v>
      </c>
      <c r="B27" s="2" t="s">
        <v>1</v>
      </c>
      <c r="C27" s="34" t="s">
        <v>20</v>
      </c>
      <c r="D27" s="32" t="s">
        <v>28</v>
      </c>
      <c r="E27" s="32" t="s">
        <v>3</v>
      </c>
      <c r="F27" s="32" t="s">
        <v>29</v>
      </c>
      <c r="G27" s="32" t="s">
        <v>27</v>
      </c>
      <c r="H27" s="32" t="s">
        <v>30</v>
      </c>
      <c r="I27" s="3" t="s">
        <v>31</v>
      </c>
    </row>
    <row r="28" spans="1:9" x14ac:dyDescent="0.3">
      <c r="A28" s="6" t="s">
        <v>4</v>
      </c>
      <c r="B28" s="23">
        <v>46</v>
      </c>
      <c r="C28" s="35">
        <v>13.8</v>
      </c>
      <c r="D28" s="35"/>
      <c r="E28" s="33">
        <f>IF(B28/33*12&gt;0,B28/33*12,B28-C28)</f>
        <v>16.727272727272727</v>
      </c>
      <c r="F28" s="37">
        <v>17.149999999999999</v>
      </c>
      <c r="G28" s="37"/>
      <c r="H28" s="37"/>
      <c r="I28" s="8">
        <v>15.050000000000004</v>
      </c>
    </row>
    <row r="29" spans="1:9" x14ac:dyDescent="0.3">
      <c r="A29" s="9" t="s">
        <v>15</v>
      </c>
      <c r="B29" s="24">
        <v>218321.06</v>
      </c>
      <c r="C29" s="36">
        <v>52553</v>
      </c>
      <c r="D29" s="36"/>
      <c r="E29" s="33">
        <f t="shared" ref="E29:E35" si="4">IF(B29/33*12&gt;0,B29/33*12,B29-C29)</f>
        <v>79389.476363636364</v>
      </c>
      <c r="F29" s="33">
        <v>72575</v>
      </c>
      <c r="G29" s="33"/>
      <c r="H29" s="33"/>
      <c r="I29" s="8">
        <v>93193.06</v>
      </c>
    </row>
    <row r="30" spans="1:9" x14ac:dyDescent="0.3">
      <c r="A30" s="9" t="s">
        <v>6</v>
      </c>
      <c r="B30" s="24">
        <v>12678</v>
      </c>
      <c r="C30" s="36">
        <v>3173</v>
      </c>
      <c r="D30" s="36"/>
      <c r="E30" s="33">
        <f t="shared" si="4"/>
        <v>4610.181818181818</v>
      </c>
      <c r="F30" s="33">
        <v>11459</v>
      </c>
      <c r="G30" s="33"/>
      <c r="H30" s="33"/>
      <c r="I30" s="8">
        <v>-1954</v>
      </c>
    </row>
    <row r="31" spans="1:9" x14ac:dyDescent="0.3">
      <c r="A31" s="9" t="s">
        <v>33</v>
      </c>
      <c r="B31" s="26">
        <v>36000</v>
      </c>
      <c r="C31" s="36">
        <v>4260</v>
      </c>
      <c r="D31" s="36"/>
      <c r="E31" s="33">
        <f t="shared" si="4"/>
        <v>13090.909090909092</v>
      </c>
      <c r="F31" s="33">
        <v>971</v>
      </c>
      <c r="G31" s="33"/>
      <c r="H31" s="33"/>
      <c r="I31" s="8">
        <v>30769</v>
      </c>
    </row>
    <row r="32" spans="1:9" x14ac:dyDescent="0.3">
      <c r="A32" s="9" t="s">
        <v>8</v>
      </c>
      <c r="B32" s="24"/>
      <c r="C32" s="36"/>
      <c r="D32" s="36"/>
      <c r="E32" s="33">
        <v>0</v>
      </c>
      <c r="F32" s="33">
        <f>IF(B32-SUM(C32:C32)&gt;0,B32-SUM(C32:C32),0)</f>
        <v>0</v>
      </c>
      <c r="G32" s="33"/>
      <c r="H32" s="33"/>
      <c r="I32" s="8">
        <v>0</v>
      </c>
    </row>
    <row r="33" spans="1:9" x14ac:dyDescent="0.3">
      <c r="A33" s="10" t="s">
        <v>9</v>
      </c>
      <c r="B33" s="24">
        <f>SUM(B29:B32)</f>
        <v>266999.06</v>
      </c>
      <c r="C33" s="36">
        <f>SUM(C29:C32)</f>
        <v>59986</v>
      </c>
      <c r="D33" s="36"/>
      <c r="E33" s="33">
        <f>SUM(E29:E32)</f>
        <v>97090.567272727276</v>
      </c>
      <c r="F33" s="36">
        <f>SUM(F29:F32)</f>
        <v>85005</v>
      </c>
      <c r="G33" s="36"/>
      <c r="H33" s="36"/>
      <c r="I33" s="8">
        <v>122008.06</v>
      </c>
    </row>
    <row r="34" spans="1:9" x14ac:dyDescent="0.3">
      <c r="A34" s="11" t="s">
        <v>21</v>
      </c>
      <c r="B34" s="24">
        <v>55399.811999999998</v>
      </c>
      <c r="C34" s="36">
        <v>11997</v>
      </c>
      <c r="D34" s="36"/>
      <c r="E34" s="33">
        <f t="shared" si="4"/>
        <v>20145.386181818179</v>
      </c>
      <c r="F34" s="33">
        <v>17001</v>
      </c>
      <c r="G34" s="33"/>
      <c r="H34" s="33"/>
      <c r="I34" s="8">
        <v>26401.811999999998</v>
      </c>
    </row>
    <row r="35" spans="1:9" x14ac:dyDescent="0.3">
      <c r="A35" s="10" t="s">
        <v>11</v>
      </c>
      <c r="B35" s="24">
        <f>B34+B33</f>
        <v>322398.87199999997</v>
      </c>
      <c r="C35" s="36">
        <f>C34+C33</f>
        <v>71983</v>
      </c>
      <c r="D35" s="36"/>
      <c r="E35" s="33">
        <f t="shared" si="4"/>
        <v>117235.95345454545</v>
      </c>
      <c r="F35" s="36">
        <f>F34+F33</f>
        <v>102006</v>
      </c>
      <c r="G35" s="36"/>
      <c r="H35" s="36"/>
      <c r="I35" s="8">
        <v>148409.87199999997</v>
      </c>
    </row>
    <row r="36" spans="1:9" x14ac:dyDescent="0.3">
      <c r="A36" s="13" t="s">
        <v>12</v>
      </c>
      <c r="B36" s="24">
        <f>B33*1.07</f>
        <v>285688.99420000002</v>
      </c>
      <c r="C36" s="36">
        <f>C33*1.07</f>
        <v>64185.020000000004</v>
      </c>
      <c r="D36" s="36"/>
      <c r="E36" s="33">
        <f>E33*1.07</f>
        <v>103886.90698181819</v>
      </c>
      <c r="F36" s="33">
        <f>F33*1.07</f>
        <v>90955.35</v>
      </c>
      <c r="G36" s="33"/>
      <c r="H36" s="33"/>
      <c r="I36" s="14">
        <v>130548.62419999999</v>
      </c>
    </row>
    <row r="37" spans="1:9" x14ac:dyDescent="0.3">
      <c r="A37" s="5" t="s">
        <v>22</v>
      </c>
    </row>
    <row r="39" spans="1:9" ht="28.8" x14ac:dyDescent="0.3">
      <c r="A39" s="1" t="s">
        <v>23</v>
      </c>
      <c r="B39" s="2" t="s">
        <v>1</v>
      </c>
      <c r="C39" s="34" t="s">
        <v>14</v>
      </c>
      <c r="D39" s="32" t="s">
        <v>28</v>
      </c>
      <c r="E39" s="32" t="s">
        <v>3</v>
      </c>
      <c r="F39" s="32" t="s">
        <v>29</v>
      </c>
      <c r="G39" s="32" t="s">
        <v>27</v>
      </c>
      <c r="H39" s="32" t="s">
        <v>30</v>
      </c>
      <c r="I39" s="3" t="s">
        <v>31</v>
      </c>
    </row>
    <row r="40" spans="1:9" x14ac:dyDescent="0.3">
      <c r="A40" s="6" t="s">
        <v>4</v>
      </c>
      <c r="B40" s="23">
        <v>33</v>
      </c>
      <c r="C40" s="35">
        <v>13</v>
      </c>
      <c r="D40" s="35"/>
      <c r="E40" s="33">
        <f>IF(B40/33*12&gt;0,B40/33*12,B40-C40)</f>
        <v>12</v>
      </c>
      <c r="F40" s="37">
        <v>10.65</v>
      </c>
      <c r="G40" s="37"/>
      <c r="H40" s="37"/>
      <c r="I40" s="8">
        <v>9.35</v>
      </c>
    </row>
    <row r="41" spans="1:9" x14ac:dyDescent="0.3">
      <c r="A41" s="9" t="s">
        <v>15</v>
      </c>
      <c r="B41" s="24">
        <v>173250</v>
      </c>
      <c r="C41" s="36">
        <f>63587-D41</f>
        <v>61839</v>
      </c>
      <c r="D41" s="36">
        <v>1748</v>
      </c>
      <c r="E41" s="33">
        <f t="shared" ref="E41:E47" si="5">IF(B41/33*12&gt;0,B41/33*12,B41-C41)</f>
        <v>63000</v>
      </c>
      <c r="F41" s="33">
        <f>53168.34-H41</f>
        <v>51185.34</v>
      </c>
      <c r="G41" s="33"/>
      <c r="H41" s="33">
        <v>1983</v>
      </c>
      <c r="I41" s="8">
        <v>60225.66</v>
      </c>
    </row>
    <row r="42" spans="1:9" x14ac:dyDescent="0.3">
      <c r="A42" s="9" t="s">
        <v>6</v>
      </c>
      <c r="B42" s="24">
        <v>20000</v>
      </c>
      <c r="C42" s="36">
        <v>4667</v>
      </c>
      <c r="D42" s="36"/>
      <c r="E42" s="33">
        <f t="shared" si="5"/>
        <v>7272.7272727272721</v>
      </c>
      <c r="F42" s="33">
        <f>'[2]Detailed FORM C'!$B$26</f>
        <v>5217.8999999999996</v>
      </c>
      <c r="G42" s="33"/>
      <c r="H42" s="33"/>
      <c r="I42" s="8">
        <v>10115.1</v>
      </c>
    </row>
    <row r="43" spans="1:9" x14ac:dyDescent="0.3">
      <c r="A43" s="9" t="s">
        <v>7</v>
      </c>
      <c r="B43" s="24">
        <v>4000</v>
      </c>
      <c r="C43" s="36">
        <v>563</v>
      </c>
      <c r="D43" s="36"/>
      <c r="E43" s="33">
        <f t="shared" si="5"/>
        <v>1454.5454545454545</v>
      </c>
      <c r="F43" s="33">
        <f>'[2]Detailed FORM C'!$B$27+'[2]Detailed FORM C'!$B$28</f>
        <v>443.72</v>
      </c>
      <c r="G43" s="33"/>
      <c r="H43" s="33"/>
      <c r="I43" s="8">
        <v>2993.2799999999997</v>
      </c>
    </row>
    <row r="44" spans="1:9" x14ac:dyDescent="0.3">
      <c r="A44" s="9" t="s">
        <v>8</v>
      </c>
      <c r="B44" s="24"/>
      <c r="C44" s="36"/>
      <c r="D44" s="36"/>
      <c r="E44" s="33">
        <v>0</v>
      </c>
      <c r="F44" s="33">
        <v>0</v>
      </c>
      <c r="G44" s="33"/>
      <c r="H44" s="33"/>
      <c r="I44" s="8">
        <v>0</v>
      </c>
    </row>
    <row r="45" spans="1:9" x14ac:dyDescent="0.3">
      <c r="A45" s="10" t="s">
        <v>9</v>
      </c>
      <c r="B45" s="24">
        <f>SUM(B41:B44)</f>
        <v>197250</v>
      </c>
      <c r="C45" s="36">
        <f>SUM(C41:C44)</f>
        <v>67069</v>
      </c>
      <c r="D45" s="36">
        <f>SUM(D41:D44)</f>
        <v>1748</v>
      </c>
      <c r="E45" s="33">
        <f>SUM(E41:E44)</f>
        <v>71727.272727272721</v>
      </c>
      <c r="F45" s="36">
        <f>SUM(F41:F44)</f>
        <v>56846.96</v>
      </c>
      <c r="G45" s="36"/>
      <c r="H45" s="36">
        <f>SUM(H41:H44)</f>
        <v>1983</v>
      </c>
      <c r="I45" s="8">
        <v>73334.040000000008</v>
      </c>
    </row>
    <row r="46" spans="1:9" x14ac:dyDescent="0.3">
      <c r="A46" s="11" t="s">
        <v>24</v>
      </c>
      <c r="B46" s="24">
        <v>39450</v>
      </c>
      <c r="C46" s="36">
        <f>13763.4-D46</f>
        <v>13413.8</v>
      </c>
      <c r="D46" s="36">
        <v>349.6</v>
      </c>
      <c r="E46" s="33">
        <f t="shared" si="5"/>
        <v>14345.454545454546</v>
      </c>
      <c r="F46" s="33">
        <v>11369.392000000002</v>
      </c>
      <c r="G46" s="33"/>
      <c r="H46" s="33">
        <v>396.6</v>
      </c>
      <c r="I46" s="8">
        <v>14666.807999999999</v>
      </c>
    </row>
    <row r="47" spans="1:9" x14ac:dyDescent="0.3">
      <c r="A47" s="10" t="s">
        <v>11</v>
      </c>
      <c r="B47" s="24">
        <f>B46+B45</f>
        <v>236700</v>
      </c>
      <c r="C47" s="36">
        <f>C46+C45</f>
        <v>80482.8</v>
      </c>
      <c r="D47" s="36">
        <f>D46+D45</f>
        <v>2097.6</v>
      </c>
      <c r="E47" s="33">
        <f t="shared" si="5"/>
        <v>86072.727272727279</v>
      </c>
      <c r="F47" s="36">
        <f>F46+F45</f>
        <v>68216.351999999999</v>
      </c>
      <c r="G47" s="36"/>
      <c r="H47" s="36">
        <f>H46+H45</f>
        <v>2379.6</v>
      </c>
      <c r="I47" s="8">
        <v>88000.848000000013</v>
      </c>
    </row>
    <row r="48" spans="1:9" x14ac:dyDescent="0.3">
      <c r="A48" s="13" t="s">
        <v>12</v>
      </c>
      <c r="B48" s="24">
        <f>B45*1.07</f>
        <v>211057.5</v>
      </c>
      <c r="C48" s="36">
        <v>71887</v>
      </c>
      <c r="D48" s="36">
        <v>0</v>
      </c>
      <c r="E48" s="33">
        <f>E45*1.07</f>
        <v>76748.181818181809</v>
      </c>
      <c r="F48" s="33">
        <f>'[2]Detailed FORM C'!$B$33</f>
        <v>60825.894100000005</v>
      </c>
      <c r="G48" s="33"/>
      <c r="H48" s="36">
        <v>0</v>
      </c>
      <c r="I48" s="14">
        <v>78344.605899999995</v>
      </c>
    </row>
    <row r="49" spans="1:9" x14ac:dyDescent="0.3">
      <c r="A49" s="5" t="s">
        <v>16</v>
      </c>
      <c r="B49" s="27"/>
      <c r="C49" s="4">
        <f>C45*1.07</f>
        <v>71763.83</v>
      </c>
      <c r="D49" s="4"/>
      <c r="E49" s="4"/>
      <c r="F49" s="4"/>
      <c r="G49" s="4"/>
      <c r="H49" s="4"/>
    </row>
    <row r="51" spans="1:9" ht="28.8" x14ac:dyDescent="0.3">
      <c r="A51" s="1" t="s">
        <v>25</v>
      </c>
      <c r="B51" s="2" t="s">
        <v>1</v>
      </c>
      <c r="C51" s="34" t="s">
        <v>20</v>
      </c>
      <c r="D51" s="32" t="s">
        <v>28</v>
      </c>
      <c r="E51" s="32" t="s">
        <v>3</v>
      </c>
      <c r="F51" s="32" t="s">
        <v>29</v>
      </c>
      <c r="G51" s="32" t="s">
        <v>27</v>
      </c>
      <c r="H51" s="32" t="s">
        <v>30</v>
      </c>
      <c r="I51" s="3" t="s">
        <v>31</v>
      </c>
    </row>
    <row r="52" spans="1:9" x14ac:dyDescent="0.3">
      <c r="A52" s="6" t="s">
        <v>4</v>
      </c>
      <c r="B52" s="23">
        <v>17</v>
      </c>
      <c r="C52" s="35">
        <v>6.5</v>
      </c>
      <c r="D52" s="35"/>
      <c r="E52" s="33">
        <f>IF(B52/33*12&gt;0,B52/33*12,B52-C52)</f>
        <v>6.1818181818181817</v>
      </c>
      <c r="F52" s="37">
        <v>6.53</v>
      </c>
      <c r="G52" s="37"/>
      <c r="H52" s="37"/>
      <c r="I52" s="8">
        <v>3.9699999999999998</v>
      </c>
    </row>
    <row r="53" spans="1:9" x14ac:dyDescent="0.3">
      <c r="A53" s="9" t="s">
        <v>15</v>
      </c>
      <c r="B53" s="24">
        <v>96712.320000000007</v>
      </c>
      <c r="C53" s="36">
        <v>24707</v>
      </c>
      <c r="D53" s="36"/>
      <c r="E53" s="33">
        <f t="shared" ref="E53:E59" si="6">IF(B53/33*12&gt;0,B53/33*12,B53-C53)</f>
        <v>35168.116363636364</v>
      </c>
      <c r="F53" s="33">
        <v>29490</v>
      </c>
      <c r="G53" s="33"/>
      <c r="H53" s="33"/>
      <c r="I53" s="8">
        <v>42515.320000000007</v>
      </c>
    </row>
    <row r="54" spans="1:9" x14ac:dyDescent="0.3">
      <c r="A54" s="9" t="s">
        <v>6</v>
      </c>
      <c r="B54" s="24">
        <v>5000</v>
      </c>
      <c r="C54" s="36">
        <v>263.5</v>
      </c>
      <c r="D54" s="36"/>
      <c r="E54" s="33">
        <f t="shared" si="6"/>
        <v>1818.181818181818</v>
      </c>
      <c r="F54" s="33">
        <v>3468</v>
      </c>
      <c r="G54" s="33">
        <v>-14</v>
      </c>
      <c r="H54" s="33"/>
      <c r="I54" s="8">
        <v>1282.5</v>
      </c>
    </row>
    <row r="55" spans="1:9" x14ac:dyDescent="0.3">
      <c r="A55" s="9" t="s">
        <v>7</v>
      </c>
      <c r="B55" s="24"/>
      <c r="C55" s="36">
        <v>723.28</v>
      </c>
      <c r="D55" s="36"/>
      <c r="E55" s="33">
        <f t="shared" si="6"/>
        <v>-723.28</v>
      </c>
      <c r="F55" s="33">
        <v>0</v>
      </c>
      <c r="G55" s="33"/>
      <c r="H55" s="33"/>
      <c r="I55" s="8">
        <v>-723.28</v>
      </c>
    </row>
    <row r="56" spans="1:9" x14ac:dyDescent="0.3">
      <c r="A56" s="9" t="s">
        <v>8</v>
      </c>
      <c r="B56" s="24"/>
      <c r="C56" s="36"/>
      <c r="D56" s="36"/>
      <c r="E56" s="33">
        <v>0</v>
      </c>
      <c r="F56" s="33">
        <f>IF(B56-SUM(C56:C56)&gt;0,B56-SUM(C56:C56),0)</f>
        <v>0</v>
      </c>
      <c r="G56" s="33"/>
      <c r="H56" s="33"/>
      <c r="I56" s="8">
        <v>0</v>
      </c>
    </row>
    <row r="57" spans="1:9" x14ac:dyDescent="0.3">
      <c r="A57" s="10" t="s">
        <v>9</v>
      </c>
      <c r="B57" s="24">
        <f>SUM(B53:B56)</f>
        <v>101712.32000000001</v>
      </c>
      <c r="C57" s="36">
        <f>SUM(C53:C56)</f>
        <v>25693.78</v>
      </c>
      <c r="D57" s="36"/>
      <c r="E57" s="33">
        <f>SUM(E53:E56)</f>
        <v>36263.018181818181</v>
      </c>
      <c r="F57" s="36">
        <f>SUM(F53:F56)</f>
        <v>32958</v>
      </c>
      <c r="G57" s="36">
        <f>SUM(G53:G56)</f>
        <v>-14</v>
      </c>
      <c r="H57" s="36"/>
      <c r="I57" s="8">
        <v>43074.540000000008</v>
      </c>
    </row>
    <row r="58" spans="1:9" x14ac:dyDescent="0.3">
      <c r="A58" s="11" t="s">
        <v>21</v>
      </c>
      <c r="B58" s="24">
        <v>20342.464</v>
      </c>
      <c r="C58" s="36">
        <v>5138</v>
      </c>
      <c r="D58" s="36"/>
      <c r="E58" s="33">
        <f t="shared" si="6"/>
        <v>7397.2596363636367</v>
      </c>
      <c r="F58" s="33">
        <v>6591</v>
      </c>
      <c r="G58" s="33"/>
      <c r="H58" s="33"/>
      <c r="I58" s="8">
        <v>8613.4639999999999</v>
      </c>
    </row>
    <row r="59" spans="1:9" x14ac:dyDescent="0.3">
      <c r="A59" s="10" t="s">
        <v>11</v>
      </c>
      <c r="B59" s="24">
        <f>B58+B57</f>
        <v>122054.78400000001</v>
      </c>
      <c r="C59" s="36">
        <f>C58+C57</f>
        <v>30831.78</v>
      </c>
      <c r="D59" s="36"/>
      <c r="E59" s="33">
        <f t="shared" si="6"/>
        <v>44383.557818181827</v>
      </c>
      <c r="F59" s="36">
        <f>F58+F57</f>
        <v>39549</v>
      </c>
      <c r="G59" s="36">
        <v>-16</v>
      </c>
      <c r="H59" s="36"/>
      <c r="I59" s="8">
        <v>51690.004000000015</v>
      </c>
    </row>
    <row r="60" spans="1:9" x14ac:dyDescent="0.3">
      <c r="A60" s="13" t="s">
        <v>12</v>
      </c>
      <c r="B60" s="24">
        <v>108831</v>
      </c>
      <c r="C60" s="36">
        <f>C57*1.07</f>
        <v>27492.3446</v>
      </c>
      <c r="D60" s="36"/>
      <c r="E60" s="33">
        <f>E57*1.07</f>
        <v>38801.429454545454</v>
      </c>
      <c r="F60" s="33">
        <f>F57*1.07</f>
        <v>35265.060000000005</v>
      </c>
      <c r="G60" s="33">
        <v>-14</v>
      </c>
      <c r="H60" s="33"/>
      <c r="I60" s="14">
        <v>46087.595399999998</v>
      </c>
    </row>
    <row r="61" spans="1:9" s="19" customFormat="1" x14ac:dyDescent="0.3">
      <c r="A61" s="5" t="s">
        <v>22</v>
      </c>
      <c r="B61" s="28"/>
      <c r="C61" s="28"/>
      <c r="D61" s="28"/>
      <c r="E61" s="28"/>
      <c r="F61" s="16"/>
      <c r="G61" s="16"/>
      <c r="H61" s="16"/>
      <c r="I61" s="12"/>
    </row>
    <row r="63" spans="1:9" ht="28.8" x14ac:dyDescent="0.3">
      <c r="A63" s="1" t="s">
        <v>26</v>
      </c>
      <c r="B63" s="2" t="s">
        <v>1</v>
      </c>
      <c r="C63" s="34" t="s">
        <v>14</v>
      </c>
      <c r="D63" s="32" t="s">
        <v>28</v>
      </c>
      <c r="E63" s="32" t="s">
        <v>3</v>
      </c>
      <c r="F63" s="32" t="s">
        <v>29</v>
      </c>
      <c r="G63" s="32" t="s">
        <v>27</v>
      </c>
      <c r="H63" s="32" t="s">
        <v>30</v>
      </c>
      <c r="I63" s="3" t="s">
        <v>31</v>
      </c>
    </row>
    <row r="64" spans="1:9" x14ac:dyDescent="0.3">
      <c r="A64" s="6" t="s">
        <v>4</v>
      </c>
      <c r="B64" s="23">
        <v>17</v>
      </c>
      <c r="C64" s="35">
        <v>6</v>
      </c>
      <c r="D64" s="35"/>
      <c r="E64" s="33">
        <f>IF(B64/33*12&gt;0,B64/33*12,B64-C64)</f>
        <v>6.1818181818181817</v>
      </c>
      <c r="F64" s="37">
        <v>5.47</v>
      </c>
      <c r="G64" s="37"/>
      <c r="H64" s="37"/>
      <c r="I64" s="8">
        <v>5.53</v>
      </c>
    </row>
    <row r="65" spans="1:9" x14ac:dyDescent="0.3">
      <c r="A65" s="9" t="s">
        <v>15</v>
      </c>
      <c r="B65" s="24">
        <v>134300</v>
      </c>
      <c r="C65" s="36">
        <f>47957-D65</f>
        <v>45645</v>
      </c>
      <c r="D65" s="36">
        <v>2312</v>
      </c>
      <c r="E65" s="33">
        <f t="shared" ref="E65:E71" si="7">IF(B65/33*12&gt;0,B65/33*12,B65-C65)</f>
        <v>48836.363636363632</v>
      </c>
      <c r="F65" s="33">
        <f>SUM('[3]Detailed FORM C'!$D$25:$D$26)-H65</f>
        <v>42409.29</v>
      </c>
      <c r="G65" s="33"/>
      <c r="H65" s="33">
        <v>2708</v>
      </c>
      <c r="I65" s="8">
        <v>46245.71</v>
      </c>
    </row>
    <row r="66" spans="1:9" x14ac:dyDescent="0.3">
      <c r="A66" s="9" t="s">
        <v>6</v>
      </c>
      <c r="B66" s="24">
        <v>18113</v>
      </c>
      <c r="C66" s="36">
        <v>9949</v>
      </c>
      <c r="D66" s="36"/>
      <c r="E66" s="33">
        <f t="shared" si="7"/>
        <v>6586.545454545454</v>
      </c>
      <c r="F66" s="33">
        <f>'[3]Detailed FORM C'!$C$28</f>
        <v>7851.49</v>
      </c>
      <c r="G66" s="33"/>
      <c r="H66" s="33"/>
      <c r="I66" s="8">
        <v>312.51000000000022</v>
      </c>
    </row>
    <row r="67" spans="1:9" x14ac:dyDescent="0.3">
      <c r="A67" s="9" t="s">
        <v>34</v>
      </c>
      <c r="B67" s="26">
        <v>63000</v>
      </c>
      <c r="C67" s="36">
        <v>6244</v>
      </c>
      <c r="D67" s="36"/>
      <c r="E67" s="33">
        <f t="shared" si="7"/>
        <v>22909.090909090908</v>
      </c>
      <c r="F67" s="33">
        <f>SUM('[3]Detailed FORM C'!$C$29:$C$31)</f>
        <v>16571.25</v>
      </c>
      <c r="G67" s="33"/>
      <c r="H67" s="33"/>
      <c r="I67" s="8">
        <v>40184.75</v>
      </c>
    </row>
    <row r="68" spans="1:9" x14ac:dyDescent="0.3">
      <c r="A68" s="9" t="s">
        <v>8</v>
      </c>
      <c r="B68" s="24"/>
      <c r="C68" s="36"/>
      <c r="D68" s="36"/>
      <c r="E68" s="33">
        <v>0</v>
      </c>
      <c r="F68" s="33">
        <f>'[3]Detailed FORM C'!$C$27</f>
        <v>605</v>
      </c>
      <c r="G68" s="33"/>
      <c r="H68" s="33"/>
      <c r="I68" s="8">
        <v>-605</v>
      </c>
    </row>
    <row r="69" spans="1:9" x14ac:dyDescent="0.3">
      <c r="A69" s="10" t="s">
        <v>9</v>
      </c>
      <c r="B69" s="24">
        <f>SUM(B65:B68)</f>
        <v>215413</v>
      </c>
      <c r="C69" s="36">
        <f>SUM(C65:C68)</f>
        <v>61838</v>
      </c>
      <c r="D69" s="36">
        <f>SUM(D65:D68)</f>
        <v>2312</v>
      </c>
      <c r="E69" s="33">
        <f>SUM(E65:E68)</f>
        <v>78332</v>
      </c>
      <c r="F69" s="36">
        <f>SUM(F65:F68)</f>
        <v>67437.03</v>
      </c>
      <c r="G69" s="36"/>
      <c r="H69" s="36">
        <f>SUM(H65:H68)</f>
        <v>2708</v>
      </c>
      <c r="I69" s="8">
        <v>86137.97</v>
      </c>
    </row>
    <row r="70" spans="1:9" x14ac:dyDescent="0.3">
      <c r="A70" s="11" t="s">
        <v>24</v>
      </c>
      <c r="B70" s="24">
        <f>B69*20%</f>
        <v>43082.600000000006</v>
      </c>
      <c r="C70" s="36">
        <f>12830-D70</f>
        <v>12367.6</v>
      </c>
      <c r="D70" s="38">
        <f>D65*20%</f>
        <v>462.40000000000003</v>
      </c>
      <c r="E70" s="33">
        <f t="shared" si="7"/>
        <v>15666.400000000001</v>
      </c>
      <c r="F70" s="33">
        <v>13366.406000000001</v>
      </c>
      <c r="G70" s="33"/>
      <c r="H70" s="38">
        <f>H65*20%</f>
        <v>541.6</v>
      </c>
      <c r="I70" s="8">
        <v>17348.594000000005</v>
      </c>
    </row>
    <row r="71" spans="1:9" x14ac:dyDescent="0.3">
      <c r="A71" s="10" t="s">
        <v>11</v>
      </c>
      <c r="B71" s="24">
        <f>B70+B69</f>
        <v>258495.6</v>
      </c>
      <c r="C71" s="36">
        <f>C70+C69</f>
        <v>74205.600000000006</v>
      </c>
      <c r="D71" s="36">
        <f>D70+D69</f>
        <v>2774.4</v>
      </c>
      <c r="E71" s="33">
        <f t="shared" si="7"/>
        <v>93998.399999999994</v>
      </c>
      <c r="F71" s="36">
        <f>F70+F69</f>
        <v>80803.436000000002</v>
      </c>
      <c r="G71" s="36"/>
      <c r="H71" s="36">
        <f>H70+H69</f>
        <v>3249.6</v>
      </c>
      <c r="I71" s="8">
        <v>103486.564</v>
      </c>
    </row>
    <row r="72" spans="1:9" x14ac:dyDescent="0.3">
      <c r="A72" s="13" t="s">
        <v>12</v>
      </c>
      <c r="B72" s="24">
        <f>B69*1.07</f>
        <v>230491.91</v>
      </c>
      <c r="C72" s="36">
        <f>66167</f>
        <v>66167</v>
      </c>
      <c r="D72" s="36">
        <v>0</v>
      </c>
      <c r="E72" s="33">
        <f>E69*1.07</f>
        <v>83815.240000000005</v>
      </c>
      <c r="F72" s="33">
        <f>'[3]Detailed FORM C'!$D$36</f>
        <v>72115.411200000002</v>
      </c>
      <c r="G72" s="33"/>
      <c r="H72" s="36">
        <v>0</v>
      </c>
      <c r="I72" s="14">
        <v>92209.498800000001</v>
      </c>
    </row>
    <row r="73" spans="1:9" x14ac:dyDescent="0.3">
      <c r="A73" s="5" t="s">
        <v>16</v>
      </c>
      <c r="B73" s="27"/>
      <c r="C73" s="4"/>
      <c r="D73" s="4"/>
      <c r="E73" s="4"/>
      <c r="F73" s="29"/>
      <c r="G73" s="29"/>
      <c r="H73" s="29"/>
    </row>
    <row r="74" spans="1:9" s="30" customFormat="1" x14ac:dyDescent="0.3">
      <c r="B74" s="25"/>
      <c r="C74" s="18"/>
      <c r="D74" s="18"/>
      <c r="E74" s="18"/>
      <c r="F74" s="18"/>
      <c r="G74" s="18"/>
      <c r="H74" s="18"/>
      <c r="I74" s="31"/>
    </row>
  </sheetData>
  <pageMargins left="0.25" right="0.25" top="0.75" bottom="0.75" header="0.3" footer="0.3"/>
  <pageSetup paperSize="9" scale="61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VS Budget PY3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cbitoune</dc:creator>
  <cp:lastModifiedBy>cbitoune</cp:lastModifiedBy>
  <dcterms:created xsi:type="dcterms:W3CDTF">2012-09-05T15:23:08Z</dcterms:created>
  <dcterms:modified xsi:type="dcterms:W3CDTF">2013-07-10T14:47:36Z</dcterms:modified>
</cp:coreProperties>
</file>